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1fb0a4ca9c63ecf/Documents/Misc/Excel/"/>
    </mc:Choice>
  </mc:AlternateContent>
  <xr:revisionPtr revIDLastSave="443" documentId="8_{4A3443BC-2E70-49C8-B527-CA62D556385E}" xr6:coauthVersionLast="47" xr6:coauthVersionMax="47" xr10:uidLastSave="{23419CEA-8D1D-476B-BC91-79330E55A147}"/>
  <bookViews>
    <workbookView xWindow="-7830" yWindow="-16320" windowWidth="29040" windowHeight="16440" xr2:uid="{6BA87DE6-E2D4-4CA7-B0E3-401112FF81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1" l="1"/>
  <c r="V23" i="1"/>
  <c r="V16" i="1"/>
  <c r="U8" i="1"/>
  <c r="U23" i="1"/>
  <c r="U16" i="1"/>
  <c r="U10" i="1"/>
  <c r="T23" i="1"/>
  <c r="T16" i="1"/>
  <c r="T10" i="1"/>
  <c r="O6" i="1"/>
  <c r="O23" i="1"/>
  <c r="O16" i="1"/>
  <c r="O10" i="1"/>
  <c r="R24" i="1"/>
  <c r="T11" i="1"/>
  <c r="R17" i="1"/>
  <c r="S11" i="1"/>
  <c r="Q24" i="1"/>
  <c r="Q17" i="1"/>
  <c r="R11" i="1"/>
  <c r="P24" i="1"/>
  <c r="Q11" i="1"/>
  <c r="P17" i="1"/>
  <c r="P11" i="1"/>
  <c r="J49" i="1"/>
  <c r="J48" i="1"/>
  <c r="J47" i="1"/>
  <c r="J46" i="1"/>
  <c r="J45" i="1"/>
  <c r="J44" i="1"/>
  <c r="J43" i="1"/>
  <c r="M49" i="1"/>
  <c r="N49" i="1" s="1"/>
  <c r="M48" i="1"/>
  <c r="N48" i="1" s="1"/>
  <c r="M47" i="1"/>
  <c r="N47" i="1" s="1"/>
  <c r="M46" i="1"/>
  <c r="N46" i="1" s="1"/>
  <c r="M45" i="1"/>
  <c r="N45" i="1" s="1"/>
  <c r="M44" i="1"/>
  <c r="N44" i="1" s="1"/>
  <c r="J42" i="1"/>
  <c r="J41" i="1"/>
  <c r="J40" i="1"/>
  <c r="J39" i="1"/>
  <c r="J38" i="1"/>
  <c r="J37" i="1"/>
  <c r="J36" i="1"/>
  <c r="J35" i="1"/>
  <c r="J34" i="1"/>
  <c r="M43" i="1"/>
  <c r="N43" i="1" s="1"/>
  <c r="M42" i="1"/>
  <c r="N42" i="1" s="1"/>
  <c r="M41" i="1"/>
  <c r="N41" i="1" s="1"/>
  <c r="M40" i="1"/>
  <c r="N40" i="1" s="1"/>
  <c r="M39" i="1"/>
  <c r="N39" i="1" s="1"/>
  <c r="M38" i="1"/>
  <c r="N38" i="1" s="1"/>
  <c r="M37" i="1"/>
  <c r="N37" i="1" s="1"/>
  <c r="M36" i="1"/>
  <c r="N36" i="1" s="1"/>
  <c r="N35" i="1"/>
  <c r="M35" i="1"/>
  <c r="N34" i="1"/>
  <c r="M34" i="1"/>
  <c r="J33" i="1"/>
  <c r="M33" i="1"/>
  <c r="N33" i="1" s="1"/>
  <c r="M32" i="1"/>
  <c r="N32" i="1" s="1"/>
  <c r="M31" i="1"/>
  <c r="N31" i="1" s="1"/>
  <c r="M30" i="1"/>
  <c r="N30" i="1" s="1"/>
  <c r="M29" i="1"/>
  <c r="N29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J32" i="1"/>
  <c r="J31" i="1"/>
  <c r="J30" i="1"/>
  <c r="J29" i="1"/>
  <c r="J28" i="1"/>
  <c r="J27" i="1"/>
  <c r="J26" i="1"/>
  <c r="J25" i="1"/>
  <c r="J24" i="1"/>
  <c r="J23" i="1"/>
  <c r="J12" i="1"/>
  <c r="J19" i="1"/>
  <c r="J22" i="1"/>
  <c r="J21" i="1"/>
  <c r="J20" i="1"/>
  <c r="J18" i="1"/>
  <c r="J17" i="1"/>
  <c r="J16" i="1"/>
  <c r="J15" i="1"/>
  <c r="J14" i="1"/>
  <c r="J13" i="1"/>
  <c r="J11" i="1"/>
  <c r="J10" i="1"/>
  <c r="J9" i="1"/>
  <c r="J8" i="1"/>
  <c r="J7" i="1"/>
  <c r="J6" i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N6" i="1" s="1"/>
</calcChain>
</file>

<file path=xl/sharedStrings.xml><?xml version="1.0" encoding="utf-8"?>
<sst xmlns="http://schemas.openxmlformats.org/spreadsheetml/2006/main" count="106" uniqueCount="50">
  <si>
    <t>Time</t>
  </si>
  <si>
    <t>HVB Coolant Inlet</t>
  </si>
  <si>
    <t>HV Battery</t>
  </si>
  <si>
    <t>Temp Deg F</t>
  </si>
  <si>
    <t>Power in kW</t>
  </si>
  <si>
    <t>Charger Output</t>
  </si>
  <si>
    <t>Going to HVB</t>
  </si>
  <si>
    <t>To Inlet Heater</t>
  </si>
  <si>
    <t>To A/C Comprsr</t>
  </si>
  <si>
    <t>AC Chrg Port</t>
  </si>
  <si>
    <t>Grill Vent Status</t>
  </si>
  <si>
    <t>% NRG to Chrg</t>
  </si>
  <si>
    <t>% NRG Wasted</t>
  </si>
  <si>
    <t>Cooling Battery</t>
  </si>
  <si>
    <t>Cooling shutting off</t>
  </si>
  <si>
    <t>Charging</t>
  </si>
  <si>
    <t>Only Charging</t>
  </si>
  <si>
    <t>100% - Open</t>
  </si>
  <si>
    <t>0% - Closed</t>
  </si>
  <si>
    <t>Amps to Comprs</t>
  </si>
  <si>
    <t>Events</t>
  </si>
  <si>
    <t>Heating HVB</t>
  </si>
  <si>
    <t>Htr just shut off</t>
  </si>
  <si>
    <t>Started charging @ 66%, started tracking this data @ 68% SOC. 14% Charge required 24.1 kWh (3.6*7 = 25.2) - Should have been 15kWh - 160% over avg.</t>
  </si>
  <si>
    <t>Comments</t>
  </si>
  <si>
    <t>HVB temp continues to rise</t>
  </si>
  <si>
    <t>Coolant Inlet temp decreasing</t>
  </si>
  <si>
    <t>3.5 min after Htr starts, HVB temp starts to increase</t>
  </si>
  <si>
    <t>HVB temp stable</t>
  </si>
  <si>
    <t>AC Comp Starts</t>
  </si>
  <si>
    <t>No HVB Charging current</t>
  </si>
  <si>
    <t>HVB Temps 86 - 98.6 Deg G</t>
  </si>
  <si>
    <t>10 minutes only charging</t>
  </si>
  <si>
    <t>HVB Chrg Stops after 4 min</t>
  </si>
  <si>
    <t>Charging with Ford Travel Charger on a 235V AC Line, Outside Temp 50 Deg F</t>
  </si>
  <si>
    <t>Based on HVB Chrg &amp; temp</t>
  </si>
  <si>
    <t>HVB Temps 82.4 -96.8 Deg G</t>
  </si>
  <si>
    <t>HVB Temps 80.6 -91.4 Deg G</t>
  </si>
  <si>
    <t>Not yet plugged in</t>
  </si>
  <si>
    <t>0.88A/0.28kW usage</t>
  </si>
  <si>
    <t>90 minutes to condition the HVB</t>
  </si>
  <si>
    <t>Cooling times</t>
  </si>
  <si>
    <t>Charge Only times (minutes)</t>
  </si>
  <si>
    <t>Heating times (minutes)</t>
  </si>
  <si>
    <t>Total time Measured</t>
  </si>
  <si>
    <t>% of Pwr for charging</t>
  </si>
  <si>
    <t>% of Time</t>
  </si>
  <si>
    <t>% of Total NRG</t>
  </si>
  <si>
    <t>% of NRG Wasted</t>
  </si>
  <si>
    <t>Heating or Cooling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</si>
</sst>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i/>
      <sz val="12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5" fontId="2" fillId="0" borderId="0" xfId="0" applyNumberFormat="1" applyFont="1"/>
    <xf numFmtId="9" fontId="2" fillId="0" borderId="0" xfId="1" applyFont="1"/>
    <xf numFmtId="2" fontId="2" fillId="3" borderId="0" xfId="0" applyNumberFormat="1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2" fontId="2" fillId="3" borderId="3" xfId="0" applyNumberFormat="1" applyFont="1" applyFill="1" applyBorder="1" applyAlignment="1">
      <alignment horizontal="center"/>
    </xf>
    <xf numFmtId="2" fontId="2" fillId="3" borderId="4" xfId="0" applyNumberFormat="1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7" xfId="0" applyNumberFormat="1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3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2" fontId="2" fillId="3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9" fontId="2" fillId="0" borderId="0" xfId="1" applyFont="1" applyBorder="1" applyAlignment="1">
      <alignment horizontal="center"/>
    </xf>
    <xf numFmtId="9" fontId="2" fillId="0" borderId="1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9" fontId="2" fillId="0" borderId="10" xfId="0" applyNumberFormat="1" applyFont="1" applyBorder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0" borderId="6" xfId="0" applyFont="1" applyBorder="1"/>
    <xf numFmtId="165" fontId="2" fillId="2" borderId="7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9" fontId="2" fillId="0" borderId="7" xfId="1" applyFont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9" xfId="0" applyFont="1" applyBorder="1"/>
    <xf numFmtId="0" fontId="2" fillId="0" borderId="1" xfId="0" applyFont="1" applyBorder="1" applyAlignment="1">
      <alignment horizontal="center"/>
    </xf>
    <xf numFmtId="165" fontId="3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3" xfId="0" applyFont="1" applyBorder="1"/>
    <xf numFmtId="9" fontId="2" fillId="0" borderId="5" xfId="1" applyFont="1" applyBorder="1"/>
    <xf numFmtId="165" fontId="2" fillId="0" borderId="3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9" fontId="2" fillId="0" borderId="0" xfId="1" applyFont="1" applyAlignment="1">
      <alignment horizontal="center"/>
    </xf>
    <xf numFmtId="165" fontId="2" fillId="0" borderId="0" xfId="0" applyNumberFormat="1" applyFont="1" applyAlignment="1">
      <alignment horizontal="right"/>
    </xf>
    <xf numFmtId="0" fontId="7" fillId="5" borderId="13" xfId="0" applyFont="1" applyFill="1" applyBorder="1" applyAlignment="1">
      <alignment horizontal="center"/>
    </xf>
    <xf numFmtId="9" fontId="7" fillId="5" borderId="14" xfId="0" applyNumberFormat="1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9" fontId="7" fillId="4" borderId="14" xfId="0" applyNumberFormat="1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7C80"/>
      <color rgb="FFFFCC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10A1-5D83-4CE8-969D-F77A7EA43FAC}">
  <sheetPr>
    <pageSetUpPr fitToPage="1"/>
  </sheetPr>
  <dimension ref="A1:V49"/>
  <sheetViews>
    <sheetView tabSelected="1" topLeftCell="B1" workbookViewId="0">
      <selection activeCell="R4" sqref="R4"/>
    </sheetView>
  </sheetViews>
  <sheetFormatPr defaultRowHeight="13.5" x14ac:dyDescent="0.35"/>
  <cols>
    <col min="1" max="1" width="27.86328125" style="1" customWidth="1"/>
    <col min="2" max="2" width="16.796875" style="3" customWidth="1"/>
    <col min="3" max="3" width="13.265625" style="26" bestFit="1" customWidth="1"/>
    <col min="4" max="4" width="9.06640625" style="27"/>
    <col min="5" max="5" width="12.796875" style="27" customWidth="1"/>
    <col min="6" max="6" width="9.06640625" style="27"/>
    <col min="7" max="9" width="9.06640625" style="28"/>
    <col min="10" max="10" width="11.86328125" style="28" customWidth="1"/>
    <col min="11" max="11" width="8.265625" style="27" customWidth="1"/>
    <col min="12" max="12" width="12.46484375" style="29" bestFit="1" customWidth="1"/>
    <col min="13" max="14" width="9.06640625" style="3"/>
    <col min="15" max="15" width="9.06640625" style="27"/>
    <col min="16" max="17" width="11.53125" style="1" bestFit="1" customWidth="1"/>
    <col min="18" max="18" width="19.53125" style="1" customWidth="1"/>
    <col min="19" max="19" width="10.46484375" style="1" bestFit="1" customWidth="1"/>
    <col min="20" max="20" width="11.6640625" style="3" bestFit="1" customWidth="1"/>
    <col min="21" max="21" width="14.46484375" style="3" bestFit="1" customWidth="1"/>
    <col min="22" max="22" width="17.1328125" style="3" bestFit="1" customWidth="1"/>
    <col min="23" max="16384" width="9.06640625" style="1"/>
  </cols>
  <sheetData>
    <row r="1" spans="1:22" ht="17.649999999999999" x14ac:dyDescent="0.5">
      <c r="B1" s="30" t="s">
        <v>34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22" s="32" customFormat="1" ht="15.4" x14ac:dyDescent="0.45">
      <c r="B2" s="34" t="s">
        <v>23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3"/>
      <c r="T2" s="31"/>
      <c r="U2" s="31"/>
      <c r="V2" s="31"/>
    </row>
    <row r="3" spans="1:22" ht="14.25" customHeight="1" x14ac:dyDescent="0.35">
      <c r="B3" s="20"/>
      <c r="C3" s="49"/>
      <c r="D3" s="14" t="s">
        <v>3</v>
      </c>
      <c r="E3" s="15"/>
      <c r="F3" s="16"/>
      <c r="G3" s="17" t="s">
        <v>4</v>
      </c>
      <c r="H3" s="18"/>
      <c r="I3" s="18"/>
      <c r="J3" s="19"/>
      <c r="K3" s="21" t="s">
        <v>19</v>
      </c>
      <c r="L3" s="58"/>
      <c r="M3" s="59"/>
      <c r="N3" s="60"/>
    </row>
    <row r="4" spans="1:22" s="2" customFormat="1" ht="32.25" customHeight="1" x14ac:dyDescent="0.45">
      <c r="A4" s="37" t="s">
        <v>24</v>
      </c>
      <c r="B4" s="22" t="s">
        <v>20</v>
      </c>
      <c r="C4" s="9" t="s">
        <v>0</v>
      </c>
      <c r="D4" s="10" t="s">
        <v>9</v>
      </c>
      <c r="E4" s="10" t="s">
        <v>1</v>
      </c>
      <c r="F4" s="10" t="s">
        <v>2</v>
      </c>
      <c r="G4" s="11" t="s">
        <v>5</v>
      </c>
      <c r="H4" s="11" t="s">
        <v>6</v>
      </c>
      <c r="I4" s="11" t="s">
        <v>7</v>
      </c>
      <c r="J4" s="11" t="s">
        <v>8</v>
      </c>
      <c r="K4" s="12"/>
      <c r="L4" s="13" t="s">
        <v>10</v>
      </c>
      <c r="M4" s="8" t="s">
        <v>11</v>
      </c>
      <c r="N4" s="23" t="s">
        <v>12</v>
      </c>
      <c r="O4" s="77"/>
    </row>
    <row r="5" spans="1:22" s="48" customFormat="1" x14ac:dyDescent="0.35">
      <c r="A5" s="40" t="s">
        <v>31</v>
      </c>
      <c r="B5" s="41"/>
      <c r="C5" s="42">
        <v>0.96077546296296301</v>
      </c>
      <c r="D5" s="43"/>
      <c r="E5" s="43">
        <v>75.2</v>
      </c>
      <c r="F5" s="43"/>
      <c r="G5" s="44"/>
      <c r="H5" s="44"/>
      <c r="I5" s="44"/>
      <c r="J5" s="44"/>
      <c r="K5" s="39"/>
      <c r="L5" s="45"/>
      <c r="M5" s="46"/>
      <c r="N5" s="47"/>
      <c r="O5" s="78"/>
      <c r="S5" s="78"/>
    </row>
    <row r="6" spans="1:22" x14ac:dyDescent="0.35">
      <c r="A6" s="35"/>
      <c r="B6" s="24" t="s">
        <v>13</v>
      </c>
      <c r="C6" s="50">
        <v>0.96019675925925929</v>
      </c>
      <c r="D6" s="52">
        <v>152.6</v>
      </c>
      <c r="E6" s="52">
        <v>82.4</v>
      </c>
      <c r="F6" s="52">
        <v>98.6</v>
      </c>
      <c r="G6" s="53">
        <v>7.03</v>
      </c>
      <c r="H6" s="53">
        <v>4.76</v>
      </c>
      <c r="I6" s="53">
        <v>0</v>
      </c>
      <c r="J6" s="53">
        <f>IF(ISNUMBER(K6),K6*235/1000,"")</f>
        <v>1.5509999999999999</v>
      </c>
      <c r="K6" s="54">
        <v>6.6</v>
      </c>
      <c r="L6" s="61" t="s">
        <v>17</v>
      </c>
      <c r="M6" s="62">
        <f>IF(ISNUMBER(H6),H6/G6,"")</f>
        <v>0.67709815078236124</v>
      </c>
      <c r="N6" s="63">
        <f>IF(ISNUMBER(M6),1-M6,"")</f>
        <v>0.32290184921763876</v>
      </c>
      <c r="O6" s="27">
        <f>1460*(C5-C45)+3</f>
        <v>145.63726851851865</v>
      </c>
      <c r="P6" s="1" t="s">
        <v>44</v>
      </c>
    </row>
    <row r="7" spans="1:22" ht="13.9" x14ac:dyDescent="0.4">
      <c r="A7" s="35" t="s">
        <v>30</v>
      </c>
      <c r="B7" s="24" t="s">
        <v>29</v>
      </c>
      <c r="C7" s="50">
        <v>0.95973379629629629</v>
      </c>
      <c r="D7" s="52">
        <v>147.19999999999999</v>
      </c>
      <c r="E7" s="52">
        <v>91.4</v>
      </c>
      <c r="F7" s="52">
        <v>98.6</v>
      </c>
      <c r="G7" s="53">
        <v>7.13</v>
      </c>
      <c r="H7" s="53">
        <v>0.26</v>
      </c>
      <c r="I7" s="53">
        <v>0</v>
      </c>
      <c r="J7" s="53">
        <f t="shared" ref="J7:J49" si="0">IF(ISNUMBER(K7),K7*235/1000,"")</f>
        <v>1.6214999999999999</v>
      </c>
      <c r="K7" s="54">
        <v>6.9</v>
      </c>
      <c r="L7" s="61" t="s">
        <v>17</v>
      </c>
      <c r="M7" s="62">
        <f>IF(ISNUMBER(H7),H7/G7,"")</f>
        <v>3.6465638148667601E-2</v>
      </c>
      <c r="N7" s="63">
        <f>IF(ISNUMBER(M7),1-M7,"")</f>
        <v>0.96353436185133234</v>
      </c>
      <c r="U7" s="86" t="s">
        <v>15</v>
      </c>
      <c r="V7" s="89" t="s">
        <v>49</v>
      </c>
    </row>
    <row r="8" spans="1:22" ht="13.9" x14ac:dyDescent="0.4">
      <c r="A8" s="35" t="s">
        <v>33</v>
      </c>
      <c r="B8" s="24"/>
      <c r="C8" s="50">
        <v>0.95954861111111101</v>
      </c>
      <c r="D8" s="52">
        <v>152.6</v>
      </c>
      <c r="E8" s="52">
        <v>100.4</v>
      </c>
      <c r="F8" s="52">
        <v>98.6</v>
      </c>
      <c r="G8" s="53">
        <v>7.24</v>
      </c>
      <c r="H8" s="53">
        <v>0.04</v>
      </c>
      <c r="I8" s="53">
        <v>0</v>
      </c>
      <c r="J8" s="53">
        <f t="shared" si="0"/>
        <v>0</v>
      </c>
      <c r="K8" s="54">
        <v>0</v>
      </c>
      <c r="L8" s="61" t="s">
        <v>18</v>
      </c>
      <c r="M8" s="62">
        <f>IF(ISNUMBER(H8),H8/G8,"")</f>
        <v>5.5248618784530384E-3</v>
      </c>
      <c r="N8" s="63">
        <f>IF(ISNUMBER(M8),1-M8,"")</f>
        <v>0.99447513812154698</v>
      </c>
      <c r="U8" s="87">
        <f>U10+U16+U23</f>
        <v>0.33324239096054559</v>
      </c>
      <c r="V8" s="90">
        <f>V10+V16+V23</f>
        <v>0.66627441973573875</v>
      </c>
    </row>
    <row r="9" spans="1:22" ht="13.9" x14ac:dyDescent="0.4">
      <c r="A9" s="35" t="s">
        <v>28</v>
      </c>
      <c r="B9" s="24" t="s">
        <v>16</v>
      </c>
      <c r="C9" s="50">
        <v>0.95811342592592597</v>
      </c>
      <c r="D9" s="52">
        <v>156.19999999999999</v>
      </c>
      <c r="E9" s="52">
        <v>105.8</v>
      </c>
      <c r="F9" s="52">
        <v>98.6</v>
      </c>
      <c r="G9" s="53">
        <v>7.02</v>
      </c>
      <c r="H9" s="53">
        <v>7.11</v>
      </c>
      <c r="I9" s="53">
        <v>0</v>
      </c>
      <c r="J9" s="53">
        <f t="shared" si="0"/>
        <v>0</v>
      </c>
      <c r="K9" s="54">
        <v>0</v>
      </c>
      <c r="L9" s="61" t="s">
        <v>18</v>
      </c>
      <c r="M9" s="62">
        <f>IF(ISNUMBER(H9),H9/G9,"")</f>
        <v>1.012820512820513</v>
      </c>
      <c r="N9" s="63">
        <f>IF(ISNUMBER(M9),1-M9,"")</f>
        <v>-1.2820512820512997E-2</v>
      </c>
      <c r="T9" s="3" t="s">
        <v>46</v>
      </c>
      <c r="U9" s="88" t="s">
        <v>47</v>
      </c>
      <c r="V9" s="91" t="s">
        <v>48</v>
      </c>
    </row>
    <row r="10" spans="1:22" x14ac:dyDescent="0.35">
      <c r="A10" s="35" t="s">
        <v>25</v>
      </c>
      <c r="B10" s="24" t="s">
        <v>16</v>
      </c>
      <c r="C10" s="50">
        <v>0.95731481481481484</v>
      </c>
      <c r="D10" s="52">
        <v>156.19999999999999</v>
      </c>
      <c r="E10" s="52">
        <v>111.2</v>
      </c>
      <c r="F10" s="52">
        <v>96.8</v>
      </c>
      <c r="G10" s="53">
        <v>7.02</v>
      </c>
      <c r="H10" s="53">
        <v>7.1</v>
      </c>
      <c r="I10" s="53">
        <v>0</v>
      </c>
      <c r="J10" s="53">
        <f t="shared" si="0"/>
        <v>0</v>
      </c>
      <c r="K10" s="54">
        <v>0</v>
      </c>
      <c r="L10" s="61" t="s">
        <v>18</v>
      </c>
      <c r="M10" s="62">
        <f>IF(ISNUMBER(H10),H10/G10,"")</f>
        <v>1.0113960113960114</v>
      </c>
      <c r="N10" s="63">
        <f>IF(ISNUMBER(M10),1-M10,"")</f>
        <v>-1.139601139601143E-2</v>
      </c>
      <c r="O10" s="81">
        <f>SUM(P11:T11)</f>
        <v>29.031018518518572</v>
      </c>
      <c r="P10" s="82" t="s">
        <v>42</v>
      </c>
      <c r="Q10" s="83"/>
      <c r="S10" s="5">
        <v>1</v>
      </c>
      <c r="T10" s="84">
        <f>O10/O6</f>
        <v>0.1993378399212912</v>
      </c>
      <c r="U10" s="84">
        <f>T10*S10</f>
        <v>0.1993378399212912</v>
      </c>
      <c r="V10" s="84">
        <v>0</v>
      </c>
    </row>
    <row r="11" spans="1:22" x14ac:dyDescent="0.35">
      <c r="A11" s="35" t="s">
        <v>26</v>
      </c>
      <c r="B11" s="24" t="s">
        <v>16</v>
      </c>
      <c r="C11" s="50">
        <v>0.9569212962962963</v>
      </c>
      <c r="D11" s="52">
        <v>156.19999999999999</v>
      </c>
      <c r="E11" s="52">
        <v>118.4</v>
      </c>
      <c r="F11" s="52">
        <v>95</v>
      </c>
      <c r="G11" s="53">
        <v>7.02</v>
      </c>
      <c r="H11" s="53">
        <v>7.1</v>
      </c>
      <c r="I11" s="53">
        <v>0</v>
      </c>
      <c r="J11" s="53">
        <f t="shared" si="0"/>
        <v>0</v>
      </c>
      <c r="K11" s="54">
        <v>0</v>
      </c>
      <c r="L11" s="61" t="s">
        <v>18</v>
      </c>
      <c r="M11" s="62">
        <f>IF(ISNUMBER(H11),H11/G11,"")</f>
        <v>1.0113960113960114</v>
      </c>
      <c r="N11" s="63">
        <f>IF(ISNUMBER(M11),1-M11,"")</f>
        <v>-1.139601139601143E-2</v>
      </c>
      <c r="P11" s="4">
        <f>(C41-C45)*365*4</f>
        <v>3.8696759259259905</v>
      </c>
      <c r="Q11" s="4">
        <f>(C33-C35)*365*4</f>
        <v>6.3199074074074773</v>
      </c>
      <c r="R11" s="4">
        <f>365*4*(C27-C28)</f>
        <v>5.6777777777776928</v>
      </c>
      <c r="S11" s="4">
        <f>1460*(C19-C22)</f>
        <v>9.1925925925926784</v>
      </c>
      <c r="T11" s="85">
        <f>1460*(C8-C12)</f>
        <v>3.9710648148147332</v>
      </c>
    </row>
    <row r="12" spans="1:22" x14ac:dyDescent="0.35">
      <c r="A12" s="35"/>
      <c r="B12" s="24" t="s">
        <v>22</v>
      </c>
      <c r="C12" s="50">
        <v>0.95682870370370365</v>
      </c>
      <c r="D12" s="52">
        <v>156.19999999999999</v>
      </c>
      <c r="E12" s="52">
        <v>123.8</v>
      </c>
      <c r="F12" s="52">
        <v>95</v>
      </c>
      <c r="G12" s="53">
        <v>7.02</v>
      </c>
      <c r="H12" s="53">
        <v>1.1299999999999999</v>
      </c>
      <c r="I12" s="53">
        <v>0</v>
      </c>
      <c r="J12" s="53">
        <f t="shared" si="0"/>
        <v>0</v>
      </c>
      <c r="K12" s="54">
        <v>0</v>
      </c>
      <c r="L12" s="61" t="s">
        <v>18</v>
      </c>
      <c r="M12" s="62">
        <f>IF(ISNUMBER(H12),H12/G12,"")</f>
        <v>0.16096866096866097</v>
      </c>
      <c r="N12" s="63">
        <f>IF(ISNUMBER(M12),1-M12,"")</f>
        <v>0.83903133903133909</v>
      </c>
    </row>
    <row r="13" spans="1:22" x14ac:dyDescent="0.35">
      <c r="A13" s="35"/>
      <c r="B13" s="24" t="s">
        <v>21</v>
      </c>
      <c r="C13" s="50">
        <v>0.95638888888888884</v>
      </c>
      <c r="D13" s="52">
        <v>156.19999999999999</v>
      </c>
      <c r="E13" s="52">
        <v>122</v>
      </c>
      <c r="F13" s="52">
        <v>93.2</v>
      </c>
      <c r="G13" s="53">
        <v>7.04</v>
      </c>
      <c r="H13" s="53">
        <v>1.1299999999999999</v>
      </c>
      <c r="I13" s="53">
        <v>5.31</v>
      </c>
      <c r="J13" s="53">
        <f t="shared" si="0"/>
        <v>0</v>
      </c>
      <c r="K13" s="54">
        <v>0</v>
      </c>
      <c r="L13" s="61" t="s">
        <v>18</v>
      </c>
      <c r="M13" s="62">
        <f>IF(ISNUMBER(H13),H13/G13,"")</f>
        <v>0.16051136363636362</v>
      </c>
      <c r="N13" s="63">
        <f>IF(ISNUMBER(M13),1-M13,"")</f>
        <v>0.83948863636363635</v>
      </c>
    </row>
    <row r="14" spans="1:22" x14ac:dyDescent="0.35">
      <c r="A14" s="35"/>
      <c r="B14" s="24" t="s">
        <v>21</v>
      </c>
      <c r="C14" s="50">
        <v>0.95565972222222229</v>
      </c>
      <c r="D14" s="52">
        <v>156.19999999999999</v>
      </c>
      <c r="E14" s="52">
        <v>120.2</v>
      </c>
      <c r="F14" s="52">
        <v>93.2</v>
      </c>
      <c r="G14" s="53">
        <v>7.03</v>
      </c>
      <c r="H14" s="53">
        <v>1.06</v>
      </c>
      <c r="I14" s="53">
        <v>5.31</v>
      </c>
      <c r="J14" s="53">
        <f t="shared" si="0"/>
        <v>0</v>
      </c>
      <c r="K14" s="54">
        <v>0</v>
      </c>
      <c r="L14" s="61" t="s">
        <v>18</v>
      </c>
      <c r="M14" s="62">
        <f>IF(ISNUMBER(H14),H14/G14,"")</f>
        <v>0.15078236130867709</v>
      </c>
      <c r="N14" s="63">
        <f>IF(ISNUMBER(M14),1-M14,"")</f>
        <v>0.84921763869132294</v>
      </c>
    </row>
    <row r="15" spans="1:22" x14ac:dyDescent="0.35">
      <c r="A15" s="38" t="s">
        <v>27</v>
      </c>
      <c r="B15" s="24" t="s">
        <v>21</v>
      </c>
      <c r="C15" s="50">
        <v>0.95505787037037038</v>
      </c>
      <c r="D15" s="52">
        <v>156.19999999999999</v>
      </c>
      <c r="E15" s="52">
        <v>118.4</v>
      </c>
      <c r="F15" s="52">
        <v>91.4</v>
      </c>
      <c r="G15" s="53">
        <v>7.04</v>
      </c>
      <c r="H15" s="53">
        <v>1.02</v>
      </c>
      <c r="I15" s="53">
        <v>5.4</v>
      </c>
      <c r="J15" s="53">
        <f t="shared" si="0"/>
        <v>0</v>
      </c>
      <c r="K15" s="54">
        <v>0</v>
      </c>
      <c r="L15" s="61" t="s">
        <v>18</v>
      </c>
      <c r="M15" s="62">
        <f>IF(ISNUMBER(H15),H15/G15,"")</f>
        <v>0.14488636363636365</v>
      </c>
      <c r="N15" s="63">
        <f>IF(ISNUMBER(M15),1-M15,"")</f>
        <v>0.85511363636363635</v>
      </c>
    </row>
    <row r="16" spans="1:22" x14ac:dyDescent="0.35">
      <c r="A16" s="38"/>
      <c r="B16" s="24" t="s">
        <v>21</v>
      </c>
      <c r="C16" s="50">
        <v>0.95462962962962961</v>
      </c>
      <c r="D16" s="52">
        <v>156.19999999999999</v>
      </c>
      <c r="E16" s="52">
        <v>116.6</v>
      </c>
      <c r="F16" s="52">
        <v>89.6</v>
      </c>
      <c r="G16" s="53">
        <v>7.03</v>
      </c>
      <c r="H16" s="53">
        <v>0.99</v>
      </c>
      <c r="I16" s="53">
        <v>5.4</v>
      </c>
      <c r="J16" s="53">
        <f t="shared" si="0"/>
        <v>0</v>
      </c>
      <c r="K16" s="54">
        <v>0</v>
      </c>
      <c r="L16" s="61" t="s">
        <v>18</v>
      </c>
      <c r="M16" s="62">
        <f>IF(ISNUMBER(H16),H16/G16,"")</f>
        <v>0.14082503556187767</v>
      </c>
      <c r="N16" s="63">
        <f>IF(ISNUMBER(M16),1-M16,"")</f>
        <v>0.85917496443812236</v>
      </c>
      <c r="O16" s="81">
        <f>SUM(P17:R17)</f>
        <v>103.06180555555531</v>
      </c>
      <c r="P16" s="82" t="s">
        <v>43</v>
      </c>
      <c r="Q16" s="83"/>
      <c r="R16" s="79" t="s">
        <v>45</v>
      </c>
      <c r="S16" s="80">
        <v>0.15</v>
      </c>
      <c r="T16" s="84">
        <f>O16/O6</f>
        <v>0.70766093462162383</v>
      </c>
      <c r="U16" s="84">
        <f>T16*S16</f>
        <v>0.10614914019324358</v>
      </c>
      <c r="V16" s="84">
        <f>(1-S16)*T16</f>
        <v>0.60151179442838021</v>
      </c>
    </row>
    <row r="17" spans="1:22" x14ac:dyDescent="0.35">
      <c r="A17" s="35"/>
      <c r="B17" s="24" t="s">
        <v>21</v>
      </c>
      <c r="C17" s="50">
        <v>0.95373842592592595</v>
      </c>
      <c r="D17" s="52">
        <v>156.19999999999999</v>
      </c>
      <c r="E17" s="52">
        <v>109.4</v>
      </c>
      <c r="F17" s="52">
        <v>89.6</v>
      </c>
      <c r="G17" s="53">
        <v>7.03</v>
      </c>
      <c r="H17" s="53">
        <v>0.88</v>
      </c>
      <c r="I17" s="53">
        <v>5.49</v>
      </c>
      <c r="J17" s="53">
        <f t="shared" si="0"/>
        <v>0</v>
      </c>
      <c r="K17" s="54">
        <v>0</v>
      </c>
      <c r="L17" s="61" t="s">
        <v>18</v>
      </c>
      <c r="M17" s="62">
        <f>IF(ISNUMBER(H17),H17/G17,"")</f>
        <v>0.1251778093883357</v>
      </c>
      <c r="N17" s="63">
        <f>IF(ISNUMBER(M17),1-M17,"")</f>
        <v>0.87482219061166433</v>
      </c>
      <c r="P17" s="4">
        <f>(C35-C41)*365*4</f>
        <v>88.14074074074064</v>
      </c>
      <c r="Q17" s="4">
        <f>1460*(C25-C27)</f>
        <v>8.7532407407407042</v>
      </c>
      <c r="R17" s="4">
        <f>1460*(C12-C19)</f>
        <v>6.1678240740739572</v>
      </c>
    </row>
    <row r="18" spans="1:22" x14ac:dyDescent="0.35">
      <c r="A18" s="35"/>
      <c r="B18" s="24" t="s">
        <v>21</v>
      </c>
      <c r="C18" s="50">
        <v>0.95306712962962958</v>
      </c>
      <c r="D18" s="52">
        <v>156.19999999999999</v>
      </c>
      <c r="E18" s="52">
        <v>104</v>
      </c>
      <c r="F18" s="52">
        <v>89.6</v>
      </c>
      <c r="G18" s="53">
        <v>7</v>
      </c>
      <c r="H18" s="53">
        <v>0.77</v>
      </c>
      <c r="I18" s="53">
        <v>5.61</v>
      </c>
      <c r="J18" s="53">
        <f t="shared" si="0"/>
        <v>0</v>
      </c>
      <c r="K18" s="54">
        <v>0</v>
      </c>
      <c r="L18" s="61" t="s">
        <v>18</v>
      </c>
      <c r="M18" s="62">
        <f>IF(ISNUMBER(H18),H18/G18,"")</f>
        <v>0.11</v>
      </c>
      <c r="N18" s="63">
        <f>IF(ISNUMBER(M18),1-M18,"")</f>
        <v>0.89</v>
      </c>
    </row>
    <row r="19" spans="1:22" x14ac:dyDescent="0.35">
      <c r="A19" s="35" t="s">
        <v>32</v>
      </c>
      <c r="B19" s="24" t="s">
        <v>21</v>
      </c>
      <c r="C19" s="50">
        <v>0.9526041666666667</v>
      </c>
      <c r="D19" s="52">
        <v>156.19999999999999</v>
      </c>
      <c r="E19" s="52">
        <v>98.6</v>
      </c>
      <c r="F19" s="52">
        <v>89.6</v>
      </c>
      <c r="G19" s="53">
        <v>7.01</v>
      </c>
      <c r="H19" s="53">
        <v>0.62</v>
      </c>
      <c r="I19" s="53">
        <v>5.7</v>
      </c>
      <c r="J19" s="53">
        <f t="shared" si="0"/>
        <v>0</v>
      </c>
      <c r="K19" s="54">
        <v>0</v>
      </c>
      <c r="L19" s="61" t="s">
        <v>18</v>
      </c>
      <c r="M19" s="62">
        <f>IF(ISNUMBER(H19),H19/G19,"")</f>
        <v>8.8445078459343796E-2</v>
      </c>
      <c r="N19" s="63">
        <f>IF(ISNUMBER(M19),1-M19,"")</f>
        <v>0.9115549215406562</v>
      </c>
    </row>
    <row r="20" spans="1:22" x14ac:dyDescent="0.35">
      <c r="A20" s="35"/>
      <c r="B20" s="24" t="s">
        <v>16</v>
      </c>
      <c r="C20" s="50">
        <v>0.95157407407407402</v>
      </c>
      <c r="D20" s="52">
        <v>156.19999999999999</v>
      </c>
      <c r="E20" s="52">
        <v>87.8</v>
      </c>
      <c r="F20" s="52">
        <v>89.6</v>
      </c>
      <c r="G20" s="53">
        <v>7.01</v>
      </c>
      <c r="H20" s="53">
        <v>6.51</v>
      </c>
      <c r="I20" s="53">
        <v>0</v>
      </c>
      <c r="J20" s="53">
        <f t="shared" si="0"/>
        <v>0</v>
      </c>
      <c r="K20" s="54">
        <v>0</v>
      </c>
      <c r="L20" s="61" t="s">
        <v>18</v>
      </c>
      <c r="M20" s="62">
        <f>IF(ISNUMBER(H20),H20/G20,"")</f>
        <v>0.92867332382310985</v>
      </c>
      <c r="N20" s="63">
        <f>IF(ISNUMBER(M20),1-M20,"")</f>
        <v>7.1326676176890147E-2</v>
      </c>
    </row>
    <row r="21" spans="1:22" x14ac:dyDescent="0.35">
      <c r="A21" s="35"/>
      <c r="B21" s="24" t="s">
        <v>16</v>
      </c>
      <c r="C21" s="50">
        <v>0.95148148148148148</v>
      </c>
      <c r="D21" s="52">
        <v>156.19999999999999</v>
      </c>
      <c r="E21" s="52">
        <v>87.8</v>
      </c>
      <c r="F21" s="52">
        <v>89.6</v>
      </c>
      <c r="G21" s="53">
        <v>7.02</v>
      </c>
      <c r="H21" s="53">
        <v>6.59</v>
      </c>
      <c r="I21" s="53">
        <v>0</v>
      </c>
      <c r="J21" s="53">
        <f t="shared" si="0"/>
        <v>0</v>
      </c>
      <c r="K21" s="54">
        <v>0</v>
      </c>
      <c r="L21" s="61" t="s">
        <v>18</v>
      </c>
      <c r="M21" s="62">
        <f>IF(ISNUMBER(H21),H21/G21,"")</f>
        <v>0.93874643874643882</v>
      </c>
      <c r="N21" s="63">
        <f>IF(ISNUMBER(M21),1-M21,"")</f>
        <v>6.1253561253561184E-2</v>
      </c>
    </row>
    <row r="22" spans="1:22" x14ac:dyDescent="0.35">
      <c r="A22" s="36"/>
      <c r="B22" s="25" t="s">
        <v>14</v>
      </c>
      <c r="C22" s="51">
        <v>0.94630787037037034</v>
      </c>
      <c r="D22" s="55">
        <v>159.80000000000001</v>
      </c>
      <c r="E22" s="55">
        <v>64.400000000000006</v>
      </c>
      <c r="F22" s="55">
        <v>93.2</v>
      </c>
      <c r="G22" s="56">
        <v>7.03</v>
      </c>
      <c r="H22" s="56"/>
      <c r="I22" s="56">
        <v>0</v>
      </c>
      <c r="J22" s="56">
        <f t="shared" si="0"/>
        <v>1.5509999999999999</v>
      </c>
      <c r="K22" s="57">
        <v>6.6</v>
      </c>
      <c r="L22" s="64" t="s">
        <v>17</v>
      </c>
      <c r="M22" s="65" t="str">
        <f>IF(ISNUMBER(H22),H22/G22,"")</f>
        <v/>
      </c>
      <c r="N22" s="66" t="str">
        <f>IF(ISNUMBER(M22),1-M22,"")</f>
        <v/>
      </c>
    </row>
    <row r="23" spans="1:22" x14ac:dyDescent="0.35">
      <c r="A23" s="68"/>
      <c r="B23" s="59"/>
      <c r="C23" s="49">
        <v>0.94452546296296302</v>
      </c>
      <c r="D23" s="69"/>
      <c r="E23" s="69"/>
      <c r="F23" s="69"/>
      <c r="G23" s="70"/>
      <c r="H23" s="70"/>
      <c r="I23" s="70">
        <v>0</v>
      </c>
      <c r="J23" s="70">
        <f t="shared" si="0"/>
        <v>1.4804999999999999</v>
      </c>
      <c r="K23" s="71">
        <v>6.3</v>
      </c>
      <c r="L23" s="58" t="s">
        <v>17</v>
      </c>
      <c r="M23" s="72" t="str">
        <f>IF(ISNUMBER(H23),H23/G23,"")</f>
        <v/>
      </c>
      <c r="N23" s="73" t="str">
        <f>IF(ISNUMBER(M23),1-M23,"")</f>
        <v/>
      </c>
      <c r="O23" s="81">
        <f>SUM(P24:R24)</f>
        <v>13.474074074074275</v>
      </c>
      <c r="P23" s="82" t="s">
        <v>41</v>
      </c>
      <c r="Q23" s="83"/>
      <c r="R23" s="79" t="s">
        <v>45</v>
      </c>
      <c r="S23" s="80">
        <v>0.3</v>
      </c>
      <c r="T23" s="84">
        <f>O23/O6</f>
        <v>9.2518036153369398E-2</v>
      </c>
      <c r="U23" s="84">
        <f>T23*S23</f>
        <v>2.7755410846010818E-2</v>
      </c>
      <c r="V23" s="84">
        <f>(1-S23)*T23</f>
        <v>6.4762625307358573E-2</v>
      </c>
    </row>
    <row r="24" spans="1:22" x14ac:dyDescent="0.35">
      <c r="A24" s="74"/>
      <c r="B24" s="7"/>
      <c r="C24" s="50">
        <v>0.9440277777777778</v>
      </c>
      <c r="D24" s="52">
        <v>154.4</v>
      </c>
      <c r="E24" s="52">
        <v>75.2</v>
      </c>
      <c r="F24" s="52">
        <v>96.8</v>
      </c>
      <c r="G24" s="53">
        <v>7.04</v>
      </c>
      <c r="H24" s="53">
        <v>0</v>
      </c>
      <c r="I24" s="53">
        <v>0</v>
      </c>
      <c r="J24" s="53" t="str">
        <f t="shared" si="0"/>
        <v/>
      </c>
      <c r="K24" s="54"/>
      <c r="L24" s="61" t="s">
        <v>17</v>
      </c>
      <c r="M24" s="62">
        <f>IF(ISNUMBER(H24),H24/G24,"")</f>
        <v>0</v>
      </c>
      <c r="N24" s="63">
        <f>IF(ISNUMBER(M24),1-M24,"")</f>
        <v>1</v>
      </c>
      <c r="P24" s="4">
        <f>(C28-C33)*365*4</f>
        <v>3.751388888888989</v>
      </c>
      <c r="Q24" s="4">
        <f>1460*(C22-C25)</f>
        <v>5.0018518518518773</v>
      </c>
      <c r="R24" s="4">
        <f>1460*(C5-C7)+3.2</f>
        <v>4.7208333333334096</v>
      </c>
    </row>
    <row r="25" spans="1:22" x14ac:dyDescent="0.35">
      <c r="A25" s="74"/>
      <c r="B25" s="7"/>
      <c r="C25" s="50">
        <v>0.9428819444444444</v>
      </c>
      <c r="D25" s="52">
        <v>147.19999999999999</v>
      </c>
      <c r="E25" s="52">
        <v>89.6</v>
      </c>
      <c r="F25" s="52">
        <v>98.6</v>
      </c>
      <c r="G25" s="53">
        <v>7.1</v>
      </c>
      <c r="H25" s="53">
        <v>0</v>
      </c>
      <c r="I25" s="53">
        <v>0</v>
      </c>
      <c r="J25" s="53" t="str">
        <f t="shared" si="0"/>
        <v/>
      </c>
      <c r="K25" s="54"/>
      <c r="L25" s="61" t="s">
        <v>17</v>
      </c>
      <c r="M25" s="62">
        <f>IF(ISNUMBER(H25),H25/G25,"")</f>
        <v>0</v>
      </c>
      <c r="N25" s="63">
        <f>IF(ISNUMBER(M25),1-M25,"")</f>
        <v>1</v>
      </c>
    </row>
    <row r="26" spans="1:22" x14ac:dyDescent="0.35">
      <c r="A26" s="74"/>
      <c r="B26" s="7"/>
      <c r="C26" s="50">
        <v>0.94141203703703702</v>
      </c>
      <c r="D26" s="52"/>
      <c r="E26" s="52">
        <v>104</v>
      </c>
      <c r="F26" s="52"/>
      <c r="G26" s="53"/>
      <c r="H26" s="53"/>
      <c r="I26" s="53"/>
      <c r="J26" s="53" t="str">
        <f t="shared" si="0"/>
        <v/>
      </c>
      <c r="K26" s="54"/>
      <c r="L26" s="61"/>
      <c r="M26" s="62" t="str">
        <f>IF(ISNUMBER(H26),H26/G26,"")</f>
        <v/>
      </c>
      <c r="N26" s="63" t="str">
        <f>IF(ISNUMBER(M26),1-M26,"")</f>
        <v/>
      </c>
    </row>
    <row r="27" spans="1:22" x14ac:dyDescent="0.35">
      <c r="A27" s="74"/>
      <c r="B27" s="7" t="s">
        <v>21</v>
      </c>
      <c r="C27" s="50">
        <v>0.93688657407407405</v>
      </c>
      <c r="D27" s="52">
        <v>154.4</v>
      </c>
      <c r="E27" s="52"/>
      <c r="F27" s="52"/>
      <c r="G27" s="53">
        <v>7.04</v>
      </c>
      <c r="H27" s="53">
        <v>0.7</v>
      </c>
      <c r="I27" s="53">
        <v>5.49</v>
      </c>
      <c r="J27" s="53">
        <f t="shared" si="0"/>
        <v>0</v>
      </c>
      <c r="K27" s="54">
        <v>0</v>
      </c>
      <c r="L27" s="61" t="s">
        <v>18</v>
      </c>
      <c r="M27" s="62">
        <f>IF(ISNUMBER(H27),H27/G27,"")</f>
        <v>9.9431818181818177E-2</v>
      </c>
      <c r="N27" s="63">
        <f>IF(ISNUMBER(M27),1-M27,"")</f>
        <v>0.90056818181818188</v>
      </c>
    </row>
    <row r="28" spans="1:22" x14ac:dyDescent="0.35">
      <c r="A28" s="74"/>
      <c r="B28" s="7" t="s">
        <v>16</v>
      </c>
      <c r="C28" s="50">
        <v>0.93299768518518522</v>
      </c>
      <c r="D28" s="52">
        <v>158</v>
      </c>
      <c r="E28" s="52"/>
      <c r="F28" s="52"/>
      <c r="G28" s="53">
        <v>6.97</v>
      </c>
      <c r="H28" s="53">
        <v>7.1</v>
      </c>
      <c r="I28" s="53">
        <v>0</v>
      </c>
      <c r="J28" s="53">
        <f t="shared" si="0"/>
        <v>0</v>
      </c>
      <c r="K28" s="54">
        <v>0</v>
      </c>
      <c r="L28" s="61"/>
      <c r="M28" s="62">
        <f>IF(ISNUMBER(H28),H28/G28,"")</f>
        <v>1.018651362984218</v>
      </c>
      <c r="N28" s="63">
        <f>IF(ISNUMBER(M28),1-M28,"")</f>
        <v>-1.865136298421799E-2</v>
      </c>
    </row>
    <row r="29" spans="1:22" x14ac:dyDescent="0.35">
      <c r="A29" s="74"/>
      <c r="B29" s="7"/>
      <c r="C29" s="50">
        <v>0.93244212962962969</v>
      </c>
      <c r="D29" s="52"/>
      <c r="E29" s="52">
        <v>71.599999999999994</v>
      </c>
      <c r="F29" s="52"/>
      <c r="G29" s="53"/>
      <c r="H29" s="53"/>
      <c r="I29" s="53">
        <v>0</v>
      </c>
      <c r="J29" s="53">
        <f t="shared" si="0"/>
        <v>1.3865000000000001</v>
      </c>
      <c r="K29" s="54">
        <v>5.9</v>
      </c>
      <c r="L29" s="61" t="s">
        <v>17</v>
      </c>
      <c r="M29" s="62" t="str">
        <f>IF(ISNUMBER(H29),H29/G29,"")</f>
        <v/>
      </c>
      <c r="N29" s="63" t="str">
        <f>IF(ISNUMBER(M29),1-M29,"")</f>
        <v/>
      </c>
    </row>
    <row r="30" spans="1:22" x14ac:dyDescent="0.35">
      <c r="A30" s="74"/>
      <c r="B30" s="7"/>
      <c r="C30" s="50">
        <v>0.93194444444444446</v>
      </c>
      <c r="D30" s="52">
        <v>158</v>
      </c>
      <c r="E30" s="52"/>
      <c r="F30" s="52"/>
      <c r="G30" s="53">
        <v>7.11</v>
      </c>
      <c r="H30" s="53">
        <v>5.2</v>
      </c>
      <c r="I30" s="53">
        <v>0</v>
      </c>
      <c r="J30" s="53" t="str">
        <f t="shared" si="0"/>
        <v/>
      </c>
      <c r="K30" s="54"/>
      <c r="L30" s="61"/>
      <c r="M30" s="62">
        <f>IF(ISNUMBER(H30),H30/G30,"")</f>
        <v>0.73136427566807316</v>
      </c>
      <c r="N30" s="63">
        <f>IF(ISNUMBER(M30),1-M30,"")</f>
        <v>0.26863572433192684</v>
      </c>
    </row>
    <row r="31" spans="1:22" x14ac:dyDescent="0.35">
      <c r="A31" s="74"/>
      <c r="B31" s="7"/>
      <c r="C31" s="50">
        <v>0.93145833333333339</v>
      </c>
      <c r="D31" s="52">
        <v>156.19999999999999</v>
      </c>
      <c r="E31" s="52"/>
      <c r="F31" s="52"/>
      <c r="G31" s="53">
        <v>6.93</v>
      </c>
      <c r="H31" s="53">
        <v>5.0999999999999996</v>
      </c>
      <c r="I31" s="53">
        <v>0</v>
      </c>
      <c r="J31" s="53" t="str">
        <f t="shared" si="0"/>
        <v/>
      </c>
      <c r="K31" s="54"/>
      <c r="L31" s="61"/>
      <c r="M31" s="62">
        <f>IF(ISNUMBER(H31),H31/G31,"")</f>
        <v>0.73593073593073588</v>
      </c>
      <c r="N31" s="63">
        <f>IF(ISNUMBER(M31),1-M31,"")</f>
        <v>0.26406926406926412</v>
      </c>
    </row>
    <row r="32" spans="1:22" x14ac:dyDescent="0.35">
      <c r="A32" s="74"/>
      <c r="B32" s="7"/>
      <c r="C32" s="50">
        <v>0.93119212962962961</v>
      </c>
      <c r="D32" s="52"/>
      <c r="E32" s="52"/>
      <c r="F32" s="52"/>
      <c r="G32" s="53"/>
      <c r="H32" s="53"/>
      <c r="I32" s="53">
        <v>0</v>
      </c>
      <c r="J32" s="53">
        <f t="shared" si="0"/>
        <v>1.41</v>
      </c>
      <c r="K32" s="54">
        <v>6</v>
      </c>
      <c r="L32" s="61" t="s">
        <v>17</v>
      </c>
      <c r="M32" s="62" t="str">
        <f>IF(ISNUMBER(H32),H32/G32,"")</f>
        <v/>
      </c>
      <c r="N32" s="63" t="str">
        <f>IF(ISNUMBER(M32),1-M32,"")</f>
        <v/>
      </c>
    </row>
    <row r="33" spans="1:14" x14ac:dyDescent="0.35">
      <c r="A33" s="74" t="s">
        <v>35</v>
      </c>
      <c r="B33" s="7" t="s">
        <v>29</v>
      </c>
      <c r="C33" s="50">
        <v>0.93042824074074071</v>
      </c>
      <c r="D33" s="52"/>
      <c r="E33" s="52">
        <v>75.2</v>
      </c>
      <c r="F33" s="52">
        <v>97</v>
      </c>
      <c r="G33" s="53">
        <v>7</v>
      </c>
      <c r="H33" s="53">
        <v>5</v>
      </c>
      <c r="I33" s="53">
        <v>0</v>
      </c>
      <c r="J33" s="53">
        <f t="shared" si="0"/>
        <v>1.41</v>
      </c>
      <c r="K33" s="54">
        <v>6</v>
      </c>
      <c r="L33" s="61" t="s">
        <v>17</v>
      </c>
      <c r="M33" s="62">
        <f>IF(ISNUMBER(H33),H33/G33,"")</f>
        <v>0.7142857142857143</v>
      </c>
      <c r="N33" s="63">
        <f>IF(ISNUMBER(M33),1-M33,"")</f>
        <v>0.2857142857142857</v>
      </c>
    </row>
    <row r="34" spans="1:14" x14ac:dyDescent="0.35">
      <c r="A34" s="40" t="s">
        <v>36</v>
      </c>
      <c r="B34" s="7"/>
      <c r="C34" s="50">
        <v>0.92666666666666664</v>
      </c>
      <c r="D34" s="52"/>
      <c r="E34" s="52">
        <v>109.4</v>
      </c>
      <c r="F34" s="52"/>
      <c r="G34" s="53"/>
      <c r="H34" s="53"/>
      <c r="I34" s="53"/>
      <c r="J34" s="53" t="str">
        <f t="shared" si="0"/>
        <v/>
      </c>
      <c r="K34" s="54"/>
      <c r="L34" s="61"/>
      <c r="M34" s="62" t="str">
        <f>IF(ISNUMBER(H34),H34/G34,"")</f>
        <v/>
      </c>
      <c r="N34" s="63" t="str">
        <f>IF(ISNUMBER(M34),1-M34,"")</f>
        <v/>
      </c>
    </row>
    <row r="35" spans="1:14" x14ac:dyDescent="0.35">
      <c r="A35" s="74" t="s">
        <v>40</v>
      </c>
      <c r="B35" s="7" t="s">
        <v>16</v>
      </c>
      <c r="C35" s="50">
        <v>0.92609953703703696</v>
      </c>
      <c r="D35" s="52">
        <v>154.4</v>
      </c>
      <c r="E35" s="52"/>
      <c r="F35" s="52"/>
      <c r="G35" s="53">
        <v>6.95</v>
      </c>
      <c r="H35" s="53">
        <v>7</v>
      </c>
      <c r="I35" s="53">
        <v>0</v>
      </c>
      <c r="J35" s="53" t="str">
        <f t="shared" si="0"/>
        <v/>
      </c>
      <c r="K35" s="54"/>
      <c r="L35" s="61"/>
      <c r="M35" s="62">
        <f>IF(ISNUMBER(H35),H35/G35,"")</f>
        <v>1.0071942446043165</v>
      </c>
      <c r="N35" s="63">
        <f>IF(ISNUMBER(M35),1-M35,"")</f>
        <v>-7.194244604316502E-3</v>
      </c>
    </row>
    <row r="36" spans="1:14" x14ac:dyDescent="0.35">
      <c r="A36" s="74"/>
      <c r="B36" s="7" t="s">
        <v>21</v>
      </c>
      <c r="C36" s="50">
        <v>0.92541666666666667</v>
      </c>
      <c r="D36" s="52">
        <v>154.4</v>
      </c>
      <c r="E36" s="52"/>
      <c r="F36" s="52"/>
      <c r="G36" s="53">
        <v>7.01</v>
      </c>
      <c r="H36" s="53">
        <v>1</v>
      </c>
      <c r="I36" s="53">
        <v>5.36</v>
      </c>
      <c r="J36" s="53" t="str">
        <f t="shared" si="0"/>
        <v/>
      </c>
      <c r="K36" s="54"/>
      <c r="L36" s="61" t="s">
        <v>18</v>
      </c>
      <c r="M36" s="62">
        <f>IF(ISNUMBER(H36),H36/G36,"")</f>
        <v>0.14265335235378032</v>
      </c>
      <c r="N36" s="63">
        <f>IF(ISNUMBER(M36),1-M36,"")</f>
        <v>0.85734664764621971</v>
      </c>
    </row>
    <row r="37" spans="1:14" x14ac:dyDescent="0.35">
      <c r="A37" s="74"/>
      <c r="B37" s="7"/>
      <c r="C37" s="50">
        <v>0.92655092592592592</v>
      </c>
      <c r="D37" s="52"/>
      <c r="E37" s="52"/>
      <c r="F37" s="52"/>
      <c r="G37" s="53">
        <v>6.98</v>
      </c>
      <c r="H37" s="53">
        <v>1.02</v>
      </c>
      <c r="I37" s="53"/>
      <c r="J37" s="53" t="str">
        <f t="shared" si="0"/>
        <v/>
      </c>
      <c r="K37" s="54"/>
      <c r="L37" s="61" t="s">
        <v>18</v>
      </c>
      <c r="M37" s="62">
        <f>IF(ISNUMBER(H37),H37/G37,"")</f>
        <v>0.14613180515759311</v>
      </c>
      <c r="N37" s="63">
        <f>IF(ISNUMBER(M37),1-M37,"")</f>
        <v>0.85386819484240695</v>
      </c>
    </row>
    <row r="38" spans="1:14" x14ac:dyDescent="0.35">
      <c r="A38" s="40" t="s">
        <v>37</v>
      </c>
      <c r="B38" s="7" t="s">
        <v>21</v>
      </c>
      <c r="C38" s="50">
        <v>0.92392361111111121</v>
      </c>
      <c r="D38" s="52"/>
      <c r="E38" s="52">
        <v>114.8</v>
      </c>
      <c r="F38" s="52">
        <v>91</v>
      </c>
      <c r="G38" s="53">
        <v>7</v>
      </c>
      <c r="H38" s="53">
        <v>0.8</v>
      </c>
      <c r="I38" s="53"/>
      <c r="J38" s="53" t="str">
        <f t="shared" si="0"/>
        <v/>
      </c>
      <c r="K38" s="54"/>
      <c r="L38" s="61" t="s">
        <v>18</v>
      </c>
      <c r="M38" s="62">
        <f>IF(ISNUMBER(H38),H38/G38,"")</f>
        <v>0.1142857142857143</v>
      </c>
      <c r="N38" s="63">
        <f>IF(ISNUMBER(M38),1-M38,"")</f>
        <v>0.88571428571428568</v>
      </c>
    </row>
    <row r="39" spans="1:14" x14ac:dyDescent="0.35">
      <c r="A39" s="74"/>
      <c r="B39" s="7" t="s">
        <v>21</v>
      </c>
      <c r="C39" s="50">
        <v>0.92298611111111117</v>
      </c>
      <c r="D39" s="52"/>
      <c r="E39" s="52">
        <v>107.6</v>
      </c>
      <c r="F39" s="52"/>
      <c r="G39" s="53">
        <v>7</v>
      </c>
      <c r="H39" s="53">
        <v>0.69</v>
      </c>
      <c r="I39" s="53"/>
      <c r="J39" s="53" t="str">
        <f t="shared" si="0"/>
        <v/>
      </c>
      <c r="K39" s="54"/>
      <c r="L39" s="61" t="s">
        <v>18</v>
      </c>
      <c r="M39" s="62">
        <f>IF(ISNUMBER(H39),H39/G39,"")</f>
        <v>9.857142857142856E-2</v>
      </c>
      <c r="N39" s="63">
        <f>IF(ISNUMBER(M39),1-M39,"")</f>
        <v>0.90142857142857147</v>
      </c>
    </row>
    <row r="40" spans="1:14" x14ac:dyDescent="0.35">
      <c r="A40" s="74"/>
      <c r="B40" s="7" t="s">
        <v>21</v>
      </c>
      <c r="C40" s="50">
        <v>0.92214120370370367</v>
      </c>
      <c r="D40" s="52">
        <v>147.19999999999999</v>
      </c>
      <c r="E40" s="52"/>
      <c r="F40" s="52"/>
      <c r="G40" s="53">
        <v>7</v>
      </c>
      <c r="H40" s="53">
        <v>0.4</v>
      </c>
      <c r="I40" s="53">
        <v>5.71</v>
      </c>
      <c r="J40" s="53" t="str">
        <f t="shared" si="0"/>
        <v/>
      </c>
      <c r="K40" s="54"/>
      <c r="L40" s="61" t="s">
        <v>18</v>
      </c>
      <c r="M40" s="62">
        <f>IF(ISNUMBER(H40),H40/G40,"")</f>
        <v>5.7142857142857148E-2</v>
      </c>
      <c r="N40" s="63">
        <f>IF(ISNUMBER(M40),1-M40,"")</f>
        <v>0.94285714285714284</v>
      </c>
    </row>
    <row r="41" spans="1:14" x14ac:dyDescent="0.35">
      <c r="A41" s="74"/>
      <c r="B41" s="7" t="s">
        <v>21</v>
      </c>
      <c r="C41" s="50">
        <v>0.86572916666666666</v>
      </c>
      <c r="D41" s="52">
        <v>132.80000000000001</v>
      </c>
      <c r="E41" s="52"/>
      <c r="F41" s="52"/>
      <c r="G41" s="53">
        <v>6.96</v>
      </c>
      <c r="H41" s="53">
        <v>0.2</v>
      </c>
      <c r="I41" s="53">
        <v>6.16</v>
      </c>
      <c r="J41" s="53" t="str">
        <f t="shared" si="0"/>
        <v/>
      </c>
      <c r="K41" s="54"/>
      <c r="L41" s="61" t="s">
        <v>18</v>
      </c>
      <c r="M41" s="62">
        <f>IF(ISNUMBER(H41),H41/G41,"")</f>
        <v>2.8735632183908049E-2</v>
      </c>
      <c r="N41" s="63">
        <f>IF(ISNUMBER(M41),1-M41,"")</f>
        <v>0.97126436781609193</v>
      </c>
    </row>
    <row r="42" spans="1:14" x14ac:dyDescent="0.35">
      <c r="A42" s="74"/>
      <c r="B42" s="7" t="s">
        <v>16</v>
      </c>
      <c r="C42" s="50">
        <v>0.86516203703703709</v>
      </c>
      <c r="D42" s="52">
        <v>129.19999999999999</v>
      </c>
      <c r="E42" s="52"/>
      <c r="F42" s="52"/>
      <c r="G42" s="53">
        <v>6.94</v>
      </c>
      <c r="H42" s="53">
        <v>6.6</v>
      </c>
      <c r="I42" s="53">
        <v>0</v>
      </c>
      <c r="J42" s="53">
        <f t="shared" si="0"/>
        <v>0</v>
      </c>
      <c r="K42" s="54">
        <v>0</v>
      </c>
      <c r="L42" s="61" t="s">
        <v>18</v>
      </c>
      <c r="M42" s="62">
        <f>IF(ISNUMBER(H42),H42/G42,"")</f>
        <v>0.95100864553314113</v>
      </c>
      <c r="N42" s="63">
        <f>IF(ISNUMBER(M42),1-M42,"")</f>
        <v>4.8991354466858872E-2</v>
      </c>
    </row>
    <row r="43" spans="1:14" x14ac:dyDescent="0.35">
      <c r="A43" s="74"/>
      <c r="B43" s="7" t="s">
        <v>16</v>
      </c>
      <c r="C43" s="50">
        <v>0.86480324074074078</v>
      </c>
      <c r="D43" s="52"/>
      <c r="E43" s="52">
        <v>59</v>
      </c>
      <c r="F43" s="52">
        <v>62.6</v>
      </c>
      <c r="G43" s="53">
        <v>7</v>
      </c>
      <c r="H43" s="53">
        <v>6.56</v>
      </c>
      <c r="I43" s="53"/>
      <c r="J43" s="53" t="str">
        <f t="shared" si="0"/>
        <v/>
      </c>
      <c r="K43" s="54"/>
      <c r="L43" s="61" t="s">
        <v>18</v>
      </c>
      <c r="M43" s="62">
        <f>IF(ISNUMBER(H43),H43/G43,"")</f>
        <v>0.93714285714285706</v>
      </c>
      <c r="N43" s="63">
        <f>IF(ISNUMBER(M43),1-M43,"")</f>
        <v>6.2857142857142945E-2</v>
      </c>
    </row>
    <row r="44" spans="1:14" x14ac:dyDescent="0.35">
      <c r="A44" s="74"/>
      <c r="B44" s="7"/>
      <c r="C44" s="50">
        <v>0.86421296296296291</v>
      </c>
      <c r="D44" s="52"/>
      <c r="E44" s="52">
        <v>57.2</v>
      </c>
      <c r="F44" s="52"/>
      <c r="G44" s="53"/>
      <c r="H44" s="53"/>
      <c r="I44" s="53"/>
      <c r="J44" s="53" t="str">
        <f t="shared" si="0"/>
        <v/>
      </c>
      <c r="K44" s="54"/>
      <c r="L44" s="61" t="s">
        <v>18</v>
      </c>
      <c r="M44" s="62" t="str">
        <f>IF(ISNUMBER(H44),H44/G44,"")</f>
        <v/>
      </c>
      <c r="N44" s="63" t="str">
        <f>IF(ISNUMBER(M44),1-M44,"")</f>
        <v/>
      </c>
    </row>
    <row r="45" spans="1:14" x14ac:dyDescent="0.35">
      <c r="A45" s="74"/>
      <c r="B45" s="7" t="s">
        <v>21</v>
      </c>
      <c r="C45" s="50">
        <v>0.86307870370370365</v>
      </c>
      <c r="D45" s="52"/>
      <c r="E45" s="52">
        <v>51.8</v>
      </c>
      <c r="F45" s="52">
        <v>57</v>
      </c>
      <c r="G45" s="53">
        <v>7</v>
      </c>
      <c r="H45" s="53">
        <v>0.3</v>
      </c>
      <c r="I45" s="53"/>
      <c r="J45" s="53" t="str">
        <f t="shared" si="0"/>
        <v/>
      </c>
      <c r="K45" s="54"/>
      <c r="L45" s="61" t="s">
        <v>18</v>
      </c>
      <c r="M45" s="62">
        <f>IF(ISNUMBER(H45),H45/G45,"")</f>
        <v>4.2857142857142858E-2</v>
      </c>
      <c r="N45" s="63">
        <f>IF(ISNUMBER(M45),1-M45,"")</f>
        <v>0.95714285714285718</v>
      </c>
    </row>
    <row r="46" spans="1:14" x14ac:dyDescent="0.35">
      <c r="A46" s="75" t="s">
        <v>39</v>
      </c>
      <c r="B46" s="76" t="s">
        <v>38</v>
      </c>
      <c r="C46" s="51">
        <v>0.86189814814814814</v>
      </c>
      <c r="D46" s="55">
        <v>86</v>
      </c>
      <c r="E46" s="55"/>
      <c r="F46" s="55"/>
      <c r="G46" s="56">
        <v>0</v>
      </c>
      <c r="H46" s="56">
        <v>-0.28000000000000003</v>
      </c>
      <c r="I46" s="56">
        <v>0</v>
      </c>
      <c r="J46" s="56" t="str">
        <f t="shared" si="0"/>
        <v/>
      </c>
      <c r="K46" s="57"/>
      <c r="L46" s="64" t="s">
        <v>18</v>
      </c>
      <c r="M46" s="65" t="e">
        <f>IF(ISNUMBER(H46),H46/G46,"")</f>
        <v>#DIV/0!</v>
      </c>
      <c r="N46" s="66" t="str">
        <f>IF(ISNUMBER(M46),1-M46,"")</f>
        <v/>
      </c>
    </row>
    <row r="47" spans="1:14" x14ac:dyDescent="0.35">
      <c r="D47" s="67"/>
      <c r="E47" s="67"/>
      <c r="F47" s="67"/>
      <c r="G47" s="6"/>
      <c r="H47" s="6"/>
      <c r="I47" s="6"/>
      <c r="J47" s="6" t="str">
        <f t="shared" si="0"/>
        <v/>
      </c>
      <c r="M47" s="62" t="str">
        <f>IF(ISNUMBER(H47),H47/G47,"")</f>
        <v/>
      </c>
      <c r="N47" s="63" t="str">
        <f>IF(ISNUMBER(M47),1-M47,"")</f>
        <v/>
      </c>
    </row>
    <row r="48" spans="1:14" x14ac:dyDescent="0.35">
      <c r="D48" s="67"/>
      <c r="E48" s="67"/>
      <c r="F48" s="67"/>
      <c r="G48" s="6"/>
      <c r="H48" s="6"/>
      <c r="I48" s="6"/>
      <c r="J48" s="6" t="str">
        <f t="shared" si="0"/>
        <v/>
      </c>
      <c r="M48" s="62" t="str">
        <f>IF(ISNUMBER(H48),H48/G48,"")</f>
        <v/>
      </c>
      <c r="N48" s="63" t="str">
        <f>IF(ISNUMBER(M48),1-M48,"")</f>
        <v/>
      </c>
    </row>
    <row r="49" spans="4:14" x14ac:dyDescent="0.35">
      <c r="D49" s="67"/>
      <c r="E49" s="67"/>
      <c r="F49" s="67"/>
      <c r="G49" s="6"/>
      <c r="H49" s="6"/>
      <c r="I49" s="6"/>
      <c r="J49" s="6" t="str">
        <f t="shared" si="0"/>
        <v/>
      </c>
      <c r="M49" s="62" t="str">
        <f>IF(ISNUMBER(H49),H49/G49,"")</f>
        <v/>
      </c>
      <c r="N49" s="63" t="str">
        <f>IF(ISNUMBER(M49),1-M49,"")</f>
        <v/>
      </c>
    </row>
  </sheetData>
  <mergeCells count="6">
    <mergeCell ref="A15:A16"/>
    <mergeCell ref="G3:J3"/>
    <mergeCell ref="D3:F3"/>
    <mergeCell ref="K3:K4"/>
    <mergeCell ref="B1:N1"/>
    <mergeCell ref="B2:N2"/>
  </mergeCells>
  <pageMargins left="0.2" right="0.2" top="0.75" bottom="0.75" header="0.3" footer="0.3"/>
  <pageSetup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Botnick</dc:creator>
  <cp:lastModifiedBy>Eric Botnick</cp:lastModifiedBy>
  <cp:lastPrinted>2023-12-29T22:47:15Z</cp:lastPrinted>
  <dcterms:created xsi:type="dcterms:W3CDTF">2023-12-29T15:37:14Z</dcterms:created>
  <dcterms:modified xsi:type="dcterms:W3CDTF">2023-12-29T22:47:16Z</dcterms:modified>
</cp:coreProperties>
</file>